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ssi.Maguire\Downloads\"/>
    </mc:Choice>
  </mc:AlternateContent>
  <xr:revisionPtr revIDLastSave="0" documentId="8_{CF5FBB03-AC76-4FE7-94DF-9A69A50A8E39}" xr6:coauthVersionLast="47" xr6:coauthVersionMax="47" xr10:uidLastSave="{00000000-0000-0000-0000-000000000000}"/>
  <bookViews>
    <workbookView xWindow="-110" yWindow="-110" windowWidth="19420" windowHeight="10420" xr2:uid="{40AF7920-BC26-4350-87CD-465F625A4710}"/>
  </bookViews>
  <sheets>
    <sheet name="Cost of Attendance" sheetId="1" r:id="rId1"/>
    <sheet name="Data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7" i="1" l="1"/>
  <c r="E51" i="1" l="1"/>
  <c r="E50" i="1"/>
  <c r="E49" i="1"/>
  <c r="E22" i="2" l="1"/>
  <c r="C21" i="2"/>
  <c r="E21" i="2" s="1"/>
  <c r="C27" i="2"/>
  <c r="C26" i="2"/>
  <c r="C25" i="2"/>
  <c r="K21" i="2" s="1"/>
  <c r="E26" i="1"/>
  <c r="E25" i="1"/>
  <c r="E24" i="1"/>
  <c r="E23" i="1"/>
  <c r="E22" i="1"/>
  <c r="E21" i="1"/>
  <c r="E20" i="1"/>
  <c r="E19" i="1"/>
  <c r="E18" i="1"/>
  <c r="D26" i="1"/>
  <c r="D25" i="1"/>
  <c r="D24" i="1"/>
  <c r="D23" i="1"/>
  <c r="D22" i="1"/>
  <c r="D21" i="1"/>
  <c r="D20" i="1"/>
  <c r="D19" i="1"/>
  <c r="D18" i="1"/>
  <c r="E17" i="1"/>
  <c r="F20" i="2" s="1"/>
  <c r="D17" i="1"/>
  <c r="H15" i="2"/>
  <c r="J15" i="2" s="1"/>
  <c r="H14" i="2"/>
  <c r="J14" i="2" s="1"/>
  <c r="J13" i="2"/>
  <c r="I13" i="2"/>
  <c r="H13" i="2"/>
  <c r="G13" i="2"/>
  <c r="H12" i="2"/>
  <c r="F12" i="2"/>
  <c r="G12" i="2" s="1"/>
  <c r="J12" i="2" s="1"/>
  <c r="E12" i="2"/>
  <c r="I12" i="2" s="1"/>
  <c r="D12" i="2"/>
  <c r="H11" i="2"/>
  <c r="F11" i="2"/>
  <c r="G11" i="2" s="1"/>
  <c r="J11" i="2" s="1"/>
  <c r="D11" i="2"/>
  <c r="E11" i="2" s="1"/>
  <c r="I11" i="2" s="1"/>
  <c r="H10" i="2"/>
  <c r="F10" i="2"/>
  <c r="G10" i="2" s="1"/>
  <c r="J10" i="2" s="1"/>
  <c r="D10" i="2"/>
  <c r="E10" i="2" s="1"/>
  <c r="I10" i="2" s="1"/>
  <c r="H9" i="2"/>
  <c r="G9" i="2"/>
  <c r="J9" i="2" s="1"/>
  <c r="F9" i="2"/>
  <c r="D9" i="2"/>
  <c r="E9" i="2" s="1"/>
  <c r="I9" i="2" s="1"/>
  <c r="H8" i="2"/>
  <c r="F8" i="2"/>
  <c r="G8" i="2" s="1"/>
  <c r="J8" i="2" s="1"/>
  <c r="D8" i="2"/>
  <c r="E8" i="2" s="1"/>
  <c r="I8" i="2" s="1"/>
  <c r="H7" i="2"/>
  <c r="F7" i="2"/>
  <c r="G7" i="2" s="1"/>
  <c r="E7" i="2"/>
  <c r="I7" i="2" s="1"/>
  <c r="D7" i="2"/>
  <c r="J21" i="2" l="1"/>
  <c r="J23" i="2"/>
  <c r="F23" i="2"/>
  <c r="D40" i="1" s="1"/>
  <c r="J24" i="2"/>
  <c r="K23" i="2"/>
  <c r="K24" i="2"/>
  <c r="K22" i="2"/>
  <c r="D27" i="1"/>
  <c r="J7" i="2"/>
  <c r="J16" i="2" s="1"/>
  <c r="G16" i="2"/>
  <c r="I15" i="2"/>
  <c r="I21" i="2"/>
  <c r="I23" i="2"/>
  <c r="E16" i="2"/>
  <c r="I14" i="2"/>
  <c r="I16" i="2" s="1"/>
  <c r="I22" i="2"/>
  <c r="I24" i="2"/>
  <c r="J22" i="2"/>
  <c r="E40" i="1" l="1"/>
  <c r="D48" i="1" s="1"/>
  <c r="F48" i="1" s="1"/>
  <c r="F24" i="2"/>
  <c r="F34" i="2" s="1"/>
  <c r="K25" i="2"/>
  <c r="I25" i="2"/>
  <c r="E27" i="1"/>
  <c r="D29" i="2" l="1"/>
  <c r="B49" i="1" s="1"/>
  <c r="D49" i="1" l="1"/>
  <c r="F49" i="1" s="1"/>
  <c r="F29" i="2"/>
  <c r="E41" i="1" s="1"/>
  <c r="D30" i="2"/>
  <c r="J28" i="2" s="1"/>
  <c r="D31" i="2" s="1"/>
  <c r="D41" i="1"/>
  <c r="D32" i="2" l="1"/>
  <c r="D51" i="1"/>
  <c r="D50" i="1"/>
  <c r="F50" i="1" s="1"/>
  <c r="D42" i="1"/>
  <c r="B50" i="1"/>
  <c r="F30" i="2"/>
  <c r="E42" i="1" s="1"/>
  <c r="D52" i="1" l="1"/>
  <c r="F31" i="2"/>
  <c r="F32" i="2" s="1"/>
  <c r="D43" i="1"/>
  <c r="D44" i="1" s="1"/>
  <c r="B51" i="1"/>
  <c r="F51" i="1"/>
  <c r="F52" i="1" s="1"/>
  <c r="E43" i="1" l="1"/>
  <c r="E44" i="1" s="1"/>
  <c r="B55" i="1" s="1"/>
</calcChain>
</file>

<file path=xl/sharedStrings.xml><?xml version="1.0" encoding="utf-8"?>
<sst xmlns="http://schemas.openxmlformats.org/spreadsheetml/2006/main" count="147" uniqueCount="126">
  <si>
    <t>This is the Cost of Attendance Spreadsheet</t>
  </si>
  <si>
    <t>It is the Consumer Disclosure net price calculator</t>
  </si>
  <si>
    <t>It is also the Consumer Disclosure of  your Loan Eligibility</t>
  </si>
  <si>
    <t>These are the costs for the year</t>
  </si>
  <si>
    <t>2023/24</t>
  </si>
  <si>
    <t xml:space="preserve">This has been calculated using an exchange rate of </t>
  </si>
  <si>
    <t>To ensure this information is accurate, please complete the yellow boxes</t>
  </si>
  <si>
    <t>Please answer these questions</t>
  </si>
  <si>
    <t>Y</t>
  </si>
  <si>
    <t>Please enter your tuition fee in Pounds Sterling - check using link below</t>
  </si>
  <si>
    <t>https://www.rcm.ac.uk/apply/feesandfunding/</t>
  </si>
  <si>
    <t>Cost of Attendance</t>
  </si>
  <si>
    <t>£ Sterling</t>
  </si>
  <si>
    <t>Room</t>
  </si>
  <si>
    <t>Board</t>
  </si>
  <si>
    <t>Travel</t>
  </si>
  <si>
    <t>General</t>
  </si>
  <si>
    <t>Loan Eligibility</t>
  </si>
  <si>
    <t>Please Answer these Questions</t>
  </si>
  <si>
    <t>From the top right front page of your SAR, what is your EFC</t>
  </si>
  <si>
    <t>What is the dependency status shown on your SAR</t>
  </si>
  <si>
    <t>D</t>
  </si>
  <si>
    <t>In which year of study will you be</t>
  </si>
  <si>
    <t>This is your Loan Eligibility</t>
  </si>
  <si>
    <t>Dollar funding from other sources</t>
  </si>
  <si>
    <t>Subsidised Loan adjusted by EFC</t>
  </si>
  <si>
    <t>Unsubsidised Loan</t>
  </si>
  <si>
    <t>PLUS Loan</t>
  </si>
  <si>
    <t>Total Funding</t>
  </si>
  <si>
    <t>Tell us how much you wish to borrow</t>
  </si>
  <si>
    <t>US Govt Origination Fee %</t>
  </si>
  <si>
    <t>Cash Value</t>
  </si>
  <si>
    <t>Only adjust the yellow boxes</t>
  </si>
  <si>
    <t xml:space="preserve">You already have other funding of </t>
  </si>
  <si>
    <t>Max Allowed</t>
  </si>
  <si>
    <t>If you wish to borrow a Private (Sallie Mae Loan) add it here</t>
  </si>
  <si>
    <t>Sallie Mae Private Loan</t>
  </si>
  <si>
    <t>Family Name (Surname)</t>
  </si>
  <si>
    <t>surname - family name</t>
  </si>
  <si>
    <t>Given Name (Forename)</t>
  </si>
  <si>
    <t>forename - first name(s)</t>
  </si>
  <si>
    <t>Address Line 1</t>
  </si>
  <si>
    <t>line 1</t>
  </si>
  <si>
    <t>Address Line 2</t>
  </si>
  <si>
    <t>line 2</t>
  </si>
  <si>
    <t>Address Line 3</t>
  </si>
  <si>
    <t>line 3</t>
  </si>
  <si>
    <t>Address Line 4</t>
  </si>
  <si>
    <t>line 4</t>
  </si>
  <si>
    <t>Zipcode / Postcode</t>
  </si>
  <si>
    <t>postcode/zipcode</t>
  </si>
  <si>
    <t>Email</t>
  </si>
  <si>
    <t>email address</t>
  </si>
  <si>
    <t>Date of Birth dd/mm/yyyy</t>
  </si>
  <si>
    <t>Full Social Security Number</t>
  </si>
  <si>
    <t>Application/Student Number</t>
  </si>
  <si>
    <t>201700000</t>
  </si>
  <si>
    <t>Full name of your course</t>
  </si>
  <si>
    <t xml:space="preserve">                                                   Cost of Attendance for the year  2023/24</t>
  </si>
  <si>
    <t xml:space="preserve">General   </t>
  </si>
  <si>
    <t>Year</t>
  </si>
  <si>
    <t>No of Weeks</t>
  </si>
  <si>
    <t>UG</t>
  </si>
  <si>
    <t>PG</t>
  </si>
  <si>
    <t>Rate</t>
  </si>
  <si>
    <t>Weekly</t>
  </si>
  <si>
    <t>weeks</t>
  </si>
  <si>
    <t>UG Pounds</t>
  </si>
  <si>
    <t>PG Pounds</t>
  </si>
  <si>
    <t>FX Rate</t>
  </si>
  <si>
    <t>UG Dollars</t>
  </si>
  <si>
    <t>PG Dollars</t>
  </si>
  <si>
    <t>Books &amp; supplies</t>
  </si>
  <si>
    <t>Mobile phone</t>
  </si>
  <si>
    <t>2x Return Flights (+Visa)</t>
  </si>
  <si>
    <t>Loan Fee</t>
  </si>
  <si>
    <t>NHS Surcharge</t>
  </si>
  <si>
    <t>Annual Total</t>
  </si>
  <si>
    <t>Loan Entitlement</t>
  </si>
  <si>
    <t>Loans for this student before EFC calculation</t>
  </si>
  <si>
    <t>MAXIMUM LOAN LEVELS AVAILABLE</t>
  </si>
  <si>
    <t>CoA</t>
  </si>
  <si>
    <t>Sub</t>
  </si>
  <si>
    <t>Unsub Depend</t>
  </si>
  <si>
    <t>Unsub Ind</t>
  </si>
  <si>
    <t>Other sterling funding</t>
  </si>
  <si>
    <t>to dollars</t>
  </si>
  <si>
    <t>postgraduates</t>
  </si>
  <si>
    <t>Other dollar Funding</t>
  </si>
  <si>
    <t>Undergraduate1</t>
  </si>
  <si>
    <t>Undergraduate2</t>
  </si>
  <si>
    <t>Need for loans</t>
  </si>
  <si>
    <t>Undergraduate&gt;2</t>
  </si>
  <si>
    <t>Max Loan Available</t>
  </si>
  <si>
    <t>There is no Subsidised Loan for postgraduates</t>
  </si>
  <si>
    <t>Status</t>
  </si>
  <si>
    <t>PLUS Calculation</t>
  </si>
  <si>
    <t>Orig Fee</t>
  </si>
  <si>
    <t>Need for PLUS</t>
  </si>
  <si>
    <t>PLUS needed</t>
  </si>
  <si>
    <t>Max Sallie Mae Allowed</t>
  </si>
  <si>
    <t>Max Loans</t>
  </si>
  <si>
    <t>Borrowed</t>
  </si>
  <si>
    <t xml:space="preserve">           NHS surcharge</t>
  </si>
  <si>
    <t xml:space="preserve">  Loan Fee </t>
  </si>
  <si>
    <t xml:space="preserve">Travel     </t>
  </si>
  <si>
    <t xml:space="preserve">       Mobile phone </t>
  </si>
  <si>
    <t xml:space="preserve">              Books &amp; supplies </t>
  </si>
  <si>
    <t xml:space="preserve">Board      </t>
  </si>
  <si>
    <t xml:space="preserve">Tuition      </t>
  </si>
  <si>
    <t xml:space="preserve">Room      </t>
  </si>
  <si>
    <t xml:space="preserve">Only enter the pounds or the dollars </t>
  </si>
  <si>
    <t>Batchelor of Music (Hons)</t>
  </si>
  <si>
    <t>Tell us who you are</t>
  </si>
  <si>
    <t xml:space="preserve">                          2x Return Flights (+Visa)</t>
  </si>
  <si>
    <t>Will you be studying for a Bachelor Course - Y or N</t>
  </si>
  <si>
    <t>Total Funding using Federal loans</t>
  </si>
  <si>
    <t>If someone else is paying tuition fees only, then only then enter how much here</t>
  </si>
  <si>
    <t>If you will receive financial aid from another source, for living or for tuition plus living, then write how much here</t>
  </si>
  <si>
    <t>Gross Loan Value US$</t>
  </si>
  <si>
    <t>Cash Value after US Govt Fees US$</t>
  </si>
  <si>
    <t>Cash Value US$</t>
  </si>
  <si>
    <t>US$ Dollars</t>
  </si>
  <si>
    <t>PLUS Loan (Maximum borrowable = COA minus any other financial assistance received)</t>
  </si>
  <si>
    <t>PLUS Loan (Maximum = CoA minus any other financial assistance received)</t>
  </si>
  <si>
    <t xml:space="preserve">123 45 6789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</si>
</sst>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&quot;£&quot;#,##0.00"/>
    <numFmt numFmtId="165" formatCode="[$$-409]#,##0"/>
    <numFmt numFmtId="166" formatCode="&quot;£&quot;#,##0"/>
    <numFmt numFmtId="167" formatCode="[$-F800]dddd\,\ mmmm\ dd\,\ yyyy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8"/>
      <color rgb="FFFF0000"/>
      <name val="Arial"/>
      <family val="2"/>
    </font>
    <font>
      <b/>
      <sz val="11"/>
      <color rgb="FFFF0000"/>
      <name val="Arial"/>
      <family val="2"/>
    </font>
    <font>
      <b/>
      <sz val="16"/>
      <color rgb="FFFF0000"/>
      <name val="Arial"/>
      <family val="2"/>
    </font>
    <font>
      <b/>
      <sz val="11"/>
      <color rgb="FF0070C0"/>
      <name val="Arial"/>
      <family val="2"/>
    </font>
    <font>
      <sz val="10"/>
      <color theme="1"/>
      <name val="Arial"/>
      <family val="2"/>
    </font>
    <font>
      <b/>
      <sz val="14"/>
      <color rgb="FFFF0000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sz val="9"/>
      <color theme="4" tint="-0.499984740745262"/>
      <name val="Arial"/>
      <family val="2"/>
    </font>
    <font>
      <sz val="9"/>
      <color theme="4" tint="-0.499984740745262"/>
      <name val="Arial"/>
      <family val="2"/>
    </font>
    <font>
      <sz val="9"/>
      <color theme="4" tint="-0.499984740745262"/>
      <name val="Calibri"/>
      <family val="2"/>
      <scheme val="minor"/>
    </font>
    <font>
      <b/>
      <u/>
      <sz val="9"/>
      <color theme="4" tint="-0.499984740745262"/>
      <name val="Arial"/>
      <family val="2"/>
    </font>
    <font>
      <sz val="10"/>
      <color theme="4" tint="-0.499984740745262"/>
      <name val="Arial"/>
      <family val="2"/>
    </font>
    <font>
      <b/>
      <sz val="10"/>
      <color theme="4" tint="-0.499984740745262"/>
      <name val="Arial"/>
      <family val="2"/>
    </font>
    <font>
      <sz val="10"/>
      <color indexed="12"/>
      <name val="Times New Roman"/>
      <family val="1"/>
    </font>
    <font>
      <sz val="11"/>
      <color theme="0" tint="-0.34998626667073579"/>
      <name val="Arial"/>
      <family val="2"/>
    </font>
    <font>
      <sz val="11"/>
      <name val="Arial"/>
      <family val="2"/>
    </font>
    <font>
      <b/>
      <sz val="11"/>
      <color theme="4"/>
      <name val="Arial"/>
      <family val="2"/>
    </font>
    <font>
      <sz val="11"/>
      <color indexed="12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indexed="12"/>
      <name val="Arial"/>
      <family val="2"/>
    </font>
    <font>
      <u/>
      <sz val="11"/>
      <color indexed="12"/>
      <name val="Arial"/>
      <family val="2"/>
    </font>
    <font>
      <b/>
      <u/>
      <sz val="11"/>
      <color theme="4"/>
      <name val="Arial"/>
      <family val="2"/>
    </font>
    <font>
      <sz val="10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6" fillId="0" borderId="0"/>
    <xf numFmtId="0" fontId="27" fillId="0" borderId="0"/>
  </cellStyleXfs>
  <cellXfs count="63">
    <xf numFmtId="0" fontId="0" fillId="0" borderId="0" xfId="0"/>
    <xf numFmtId="167" fontId="21" fillId="2" borderId="0" xfId="0" applyNumberFormat="1" applyFont="1" applyFill="1" applyAlignment="1" applyProtection="1">
      <alignment horizontal="center"/>
      <protection locked="0"/>
    </xf>
    <xf numFmtId="43" fontId="23" fillId="2" borderId="0" xfId="1" applyFont="1" applyFill="1" applyBorder="1" applyAlignment="1" applyProtection="1">
      <alignment horizontal="center"/>
      <protection locked="0"/>
    </xf>
    <xf numFmtId="49" fontId="21" fillId="2" borderId="0" xfId="1" applyNumberFormat="1" applyFont="1" applyFill="1" applyBorder="1" applyAlignment="1" applyProtection="1">
      <alignment horizontal="center"/>
      <protection locked="0"/>
    </xf>
    <xf numFmtId="49" fontId="24" fillId="2" borderId="0" xfId="2" applyNumberFormat="1" applyFont="1" applyFill="1" applyBorder="1" applyAlignment="1" applyProtection="1">
      <alignment horizontal="center"/>
      <protection locked="0"/>
    </xf>
    <xf numFmtId="49" fontId="23" fillId="2" borderId="0" xfId="1" applyNumberFormat="1" applyFont="1" applyFill="1" applyBorder="1" applyAlignment="1" applyProtection="1">
      <alignment horizontal="center"/>
      <protection locked="0"/>
    </xf>
    <xf numFmtId="49" fontId="21" fillId="2" borderId="0" xfId="0" applyNumberFormat="1" applyFont="1" applyFill="1" applyAlignment="1" applyProtection="1">
      <alignment horizontal="center"/>
      <protection locked="0"/>
    </xf>
    <xf numFmtId="166" fontId="2" fillId="2" borderId="0" xfId="0" applyNumberFormat="1" applyFont="1" applyFill="1" applyAlignment="1" applyProtection="1">
      <alignment horizontal="right"/>
      <protection locked="0"/>
    </xf>
    <xf numFmtId="165" fontId="2" fillId="2" borderId="0" xfId="0" applyNumberFormat="1" applyFont="1" applyFill="1" applyAlignment="1" applyProtection="1">
      <alignment horizontal="right"/>
      <protection locked="0"/>
    </xf>
    <xf numFmtId="166" fontId="2" fillId="2" borderId="0" xfId="0" applyNumberFormat="1" applyFont="1" applyFill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25" fillId="0" borderId="0" xfId="2" applyFont="1" applyProtection="1">
      <protection locked="0"/>
    </xf>
    <xf numFmtId="0" fontId="2" fillId="2" borderId="0" xfId="0" applyFont="1" applyFill="1" applyProtection="1">
      <protection locked="0"/>
    </xf>
    <xf numFmtId="0" fontId="2" fillId="0" borderId="0" xfId="0" applyFont="1"/>
    <xf numFmtId="0" fontId="3" fillId="0" borderId="0" xfId="0" applyFont="1"/>
    <xf numFmtId="0" fontId="6" fillId="0" borderId="0" xfId="0" applyFont="1"/>
    <xf numFmtId="0" fontId="18" fillId="0" borderId="0" xfId="0" applyFont="1"/>
    <xf numFmtId="0" fontId="2" fillId="0" borderId="0" xfId="0" applyFont="1" applyAlignment="1">
      <alignment horizontal="center"/>
    </xf>
    <xf numFmtId="0" fontId="6" fillId="2" borderId="0" xfId="0" applyFont="1" applyFill="1"/>
    <xf numFmtId="0" fontId="5" fillId="0" borderId="0" xfId="0" applyFont="1"/>
    <xf numFmtId="0" fontId="4" fillId="0" borderId="0" xfId="0" applyFont="1"/>
    <xf numFmtId="0" fontId="2" fillId="0" borderId="0" xfId="0" applyFont="1" applyAlignment="1">
      <alignment horizontal="center" vertical="center"/>
    </xf>
    <xf numFmtId="166" fontId="2" fillId="0" borderId="0" xfId="0" applyNumberFormat="1" applyFont="1"/>
    <xf numFmtId="165" fontId="2" fillId="0" borderId="0" xfId="0" applyNumberFormat="1" applyFont="1"/>
    <xf numFmtId="166" fontId="2" fillId="0" borderId="1" xfId="0" applyNumberFormat="1" applyFont="1" applyBorder="1"/>
    <xf numFmtId="165" fontId="2" fillId="0" borderId="1" xfId="0" applyNumberFormat="1" applyFont="1" applyBorder="1"/>
    <xf numFmtId="0" fontId="2" fillId="0" borderId="0" xfId="0" applyFont="1" applyAlignment="1">
      <alignment wrapText="1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center" wrapText="1"/>
    </xf>
    <xf numFmtId="165" fontId="19" fillId="0" borderId="0" xfId="0" applyNumberFormat="1" applyFont="1" applyAlignment="1">
      <alignment horizontal="right" vertical="center" wrapText="1"/>
    </xf>
    <xf numFmtId="165" fontId="19" fillId="0" borderId="0" xfId="0" applyNumberFormat="1" applyFont="1" applyAlignment="1">
      <alignment horizontal="right" vertical="center"/>
    </xf>
    <xf numFmtId="165" fontId="2" fillId="0" borderId="0" xfId="0" applyNumberFormat="1" applyFont="1" applyAlignment="1">
      <alignment horizontal="right"/>
    </xf>
    <xf numFmtId="0" fontId="5" fillId="0" borderId="0" xfId="0" applyFont="1" applyAlignment="1">
      <alignment vertical="center"/>
    </xf>
    <xf numFmtId="165" fontId="20" fillId="0" borderId="0" xfId="0" applyNumberFormat="1" applyFont="1" applyAlignment="1">
      <alignment horizontal="right"/>
    </xf>
    <xf numFmtId="165" fontId="7" fillId="0" borderId="0" xfId="0" applyNumberFormat="1" applyFont="1"/>
    <xf numFmtId="0" fontId="6" fillId="0" borderId="0" xfId="0" applyFont="1" applyAlignment="1">
      <alignment horizontal="center"/>
    </xf>
    <xf numFmtId="0" fontId="7" fillId="0" borderId="0" xfId="0" applyFont="1"/>
    <xf numFmtId="165" fontId="0" fillId="0" borderId="0" xfId="0" applyNumberFormat="1" applyProtection="1">
      <protection locked="0"/>
    </xf>
    <xf numFmtId="0" fontId="8" fillId="0" borderId="0" xfId="0" applyFont="1"/>
    <xf numFmtId="0" fontId="0" fillId="2" borderId="0" xfId="0" applyFill="1"/>
    <xf numFmtId="164" fontId="0" fillId="2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  <xf numFmtId="166" fontId="0" fillId="2" borderId="0" xfId="0" applyNumberFormat="1" applyFill="1" applyAlignment="1">
      <alignment horizontal="right"/>
    </xf>
    <xf numFmtId="0" fontId="0" fillId="0" borderId="0" xfId="0" applyAlignment="1">
      <alignment horizontal="right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165" fontId="0" fillId="0" borderId="0" xfId="0" applyNumberFormat="1"/>
    <xf numFmtId="0" fontId="14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166" fontId="0" fillId="0" borderId="0" xfId="0" applyNumberFormat="1"/>
    <xf numFmtId="165" fontId="15" fillId="0" borderId="0" xfId="0" applyNumberFormat="1" applyFont="1" applyAlignment="1">
      <alignment horizontal="right"/>
    </xf>
    <xf numFmtId="165" fontId="15" fillId="0" borderId="0" xfId="0" applyNumberFormat="1" applyFont="1"/>
    <xf numFmtId="0" fontId="15" fillId="0" borderId="0" xfId="0" applyFont="1"/>
    <xf numFmtId="0" fontId="15" fillId="2" borderId="0" xfId="0" applyFont="1" applyFill="1"/>
    <xf numFmtId="0" fontId="16" fillId="0" borderId="0" xfId="0" applyFont="1"/>
    <xf numFmtId="0" fontId="17" fillId="3" borderId="0" xfId="0" applyFont="1" applyFill="1" applyAlignment="1">
      <alignment horizontal="center"/>
    </xf>
  </cellXfs>
  <cellStyles count="5">
    <cellStyle name="Comma" xfId="1" builtinId="3"/>
    <cellStyle name="Hyperlink" xfId="2" builtinId="8"/>
    <cellStyle name="Normal" xfId="0" builtinId="0"/>
    <cellStyle name="Normal 2" xfId="3" xr:uid="{DADCF216-F613-4AF7-A2C6-C132C442DDA3}"/>
    <cellStyle name="Normal 3" xfId="4" xr:uid="{17278B92-45D2-4645-A688-8AD13049816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-14287</xdr:colOff>
      <xdr:row>0</xdr:row>
      <xdr:rowOff>-183469</xdr:rowOff>
    </xdr:from>
    <xdr:to>
      <xdr:col>1</xdr:col>
      <xdr:colOff>1004888</xdr:colOff>
      <xdr:row>21</xdr:row>
      <xdr:rowOff>100012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6A78F40-DBA5-8055-D938-FE0AF47B00BF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-14287" y="-183469"/>
          <a:ext cx="1990725" cy="445543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rcm.ac.uk/apply/feesandfundin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DA8577-8BE7-4F19-B84D-87737DB96089}">
  <dimension ref="A1:H79"/>
  <sheetViews>
    <sheetView tabSelected="1" topLeftCell="A18" workbookViewId="0">
      <selection activeCell="D35" activeCellId="1" sqref="D16:E16 D35:E35"/>
    </sheetView>
  </sheetViews>
  <sheetFormatPr defaultColWidth="9.1796875" defaultRowHeight="14.5" x14ac:dyDescent="0.35"/>
  <cols>
    <col min="1" max="1" width="14.54296875" style="10" customWidth="1"/>
    <col min="2" max="2" width="15.1796875" style="10" customWidth="1"/>
    <col min="3" max="3" width="75.7265625" style="10" customWidth="1"/>
    <col min="4" max="4" width="11" style="10" customWidth="1"/>
    <col min="5" max="5" width="13.1796875" style="10" customWidth="1"/>
    <col min="6" max="16384" width="9.1796875" style="10"/>
  </cols>
  <sheetData>
    <row r="1" spans="1:7" ht="23" x14ac:dyDescent="0.5">
      <c r="A1" s="15"/>
      <c r="B1" s="15"/>
      <c r="C1" s="16" t="s">
        <v>0</v>
      </c>
      <c r="D1" s="15"/>
      <c r="E1" s="15"/>
      <c r="F1" s="15"/>
      <c r="G1" s="11"/>
    </row>
    <row r="2" spans="1:7" x14ac:dyDescent="0.35">
      <c r="A2" s="15"/>
      <c r="B2" s="15"/>
      <c r="C2" s="17" t="s">
        <v>1</v>
      </c>
      <c r="D2" s="15"/>
      <c r="E2" s="15"/>
      <c r="F2" s="15"/>
      <c r="G2" s="11"/>
    </row>
    <row r="3" spans="1:7" x14ac:dyDescent="0.35">
      <c r="A3" s="15"/>
      <c r="B3" s="15"/>
      <c r="C3" s="17" t="s">
        <v>2</v>
      </c>
      <c r="D3" s="15"/>
      <c r="E3" s="15"/>
      <c r="F3" s="15"/>
      <c r="G3" s="11"/>
    </row>
    <row r="4" spans="1:7" x14ac:dyDescent="0.35">
      <c r="A4" s="15"/>
      <c r="B4" s="15"/>
      <c r="C4" s="15"/>
      <c r="D4" s="18"/>
      <c r="E4" s="18"/>
      <c r="F4" s="15"/>
      <c r="G4" s="11"/>
    </row>
    <row r="5" spans="1:7" x14ac:dyDescent="0.35">
      <c r="A5" s="15"/>
      <c r="B5" s="15"/>
      <c r="C5" s="15" t="s">
        <v>3</v>
      </c>
      <c r="D5" s="19" t="s">
        <v>4</v>
      </c>
      <c r="E5" s="15"/>
      <c r="F5" s="15"/>
      <c r="G5" s="11"/>
    </row>
    <row r="6" spans="1:7" x14ac:dyDescent="0.35">
      <c r="A6" s="15"/>
      <c r="B6" s="15"/>
      <c r="C6" s="15" t="s">
        <v>5</v>
      </c>
      <c r="D6" s="19">
        <v>1.3</v>
      </c>
      <c r="E6" s="15"/>
      <c r="F6" s="15"/>
      <c r="G6" s="11"/>
    </row>
    <row r="7" spans="1:7" x14ac:dyDescent="0.35">
      <c r="A7" s="15"/>
      <c r="B7" s="15"/>
      <c r="C7" s="15"/>
      <c r="D7" s="15"/>
      <c r="E7" s="15"/>
      <c r="F7" s="15"/>
      <c r="G7" s="11"/>
    </row>
    <row r="8" spans="1:7" x14ac:dyDescent="0.35">
      <c r="A8" s="15"/>
      <c r="B8" s="15"/>
      <c r="C8" s="15"/>
      <c r="D8" s="15"/>
      <c r="E8" s="15"/>
      <c r="F8" s="15"/>
      <c r="G8" s="11"/>
    </row>
    <row r="9" spans="1:7" x14ac:dyDescent="0.35">
      <c r="A9" s="15"/>
      <c r="B9" s="15"/>
      <c r="C9" s="20" t="s">
        <v>6</v>
      </c>
      <c r="D9" s="15"/>
      <c r="E9" s="15"/>
      <c r="F9" s="15"/>
      <c r="G9" s="11"/>
    </row>
    <row r="10" spans="1:7" x14ac:dyDescent="0.35">
      <c r="A10" s="15"/>
      <c r="B10" s="15"/>
      <c r="C10" s="15" t="s">
        <v>7</v>
      </c>
      <c r="D10" s="15"/>
      <c r="E10" s="15"/>
      <c r="F10" s="15"/>
      <c r="G10" s="11"/>
    </row>
    <row r="11" spans="1:7" x14ac:dyDescent="0.35">
      <c r="A11" s="15"/>
      <c r="B11" s="15"/>
      <c r="C11" s="15" t="s">
        <v>115</v>
      </c>
      <c r="D11" s="12" t="s">
        <v>8</v>
      </c>
      <c r="E11" s="15"/>
      <c r="F11" s="15"/>
      <c r="G11" s="11"/>
    </row>
    <row r="12" spans="1:7" x14ac:dyDescent="0.35">
      <c r="A12" s="15"/>
      <c r="B12" s="15"/>
      <c r="C12" s="15" t="s">
        <v>9</v>
      </c>
      <c r="D12" s="9">
        <v>27300</v>
      </c>
      <c r="E12" s="15"/>
      <c r="F12" s="15"/>
      <c r="G12" s="11"/>
    </row>
    <row r="13" spans="1:7" x14ac:dyDescent="0.35">
      <c r="A13" s="15"/>
      <c r="B13" s="15"/>
      <c r="C13" s="13" t="s">
        <v>10</v>
      </c>
      <c r="D13" s="15"/>
      <c r="E13" s="15"/>
      <c r="F13" s="15"/>
      <c r="G13" s="11"/>
    </row>
    <row r="14" spans="1:7" x14ac:dyDescent="0.35">
      <c r="A14" s="15"/>
      <c r="B14" s="15"/>
      <c r="C14" s="15"/>
      <c r="D14" s="15"/>
      <c r="E14" s="15"/>
      <c r="F14" s="15"/>
      <c r="G14" s="11"/>
    </row>
    <row r="15" spans="1:7" x14ac:dyDescent="0.35">
      <c r="A15" s="15"/>
      <c r="B15" s="15"/>
      <c r="C15" s="15"/>
      <c r="D15" s="15"/>
      <c r="E15" s="15"/>
      <c r="F15" s="15"/>
      <c r="G15" s="11"/>
    </row>
    <row r="16" spans="1:7" ht="20" x14ac:dyDescent="0.4">
      <c r="A16" s="15"/>
      <c r="B16" s="15"/>
      <c r="C16" s="21" t="s">
        <v>11</v>
      </c>
      <c r="D16" s="22" t="s">
        <v>12</v>
      </c>
      <c r="E16" s="22" t="s">
        <v>122</v>
      </c>
      <c r="F16" s="15"/>
      <c r="G16" s="11"/>
    </row>
    <row r="17" spans="1:7" x14ac:dyDescent="0.35">
      <c r="A17" s="15"/>
      <c r="B17" s="15"/>
      <c r="C17" s="23" t="s">
        <v>109</v>
      </c>
      <c r="D17" s="24">
        <f>D12</f>
        <v>27300</v>
      </c>
      <c r="E17" s="25">
        <f>D12*D6</f>
        <v>35490</v>
      </c>
      <c r="F17" s="15"/>
      <c r="G17" s="11"/>
    </row>
    <row r="18" spans="1:7" x14ac:dyDescent="0.35">
      <c r="A18" s="15"/>
      <c r="B18" s="15"/>
      <c r="C18" s="19" t="s">
        <v>110</v>
      </c>
      <c r="D18" s="24">
        <f>IF(($D$11="Y"),Data!E7,Data!G7)</f>
        <v>12395</v>
      </c>
      <c r="E18" s="25">
        <f>IF(($D$11="Y"),Data!I7,Data!J7)</f>
        <v>16114</v>
      </c>
      <c r="F18" s="15"/>
      <c r="G18" s="11"/>
    </row>
    <row r="19" spans="1:7" x14ac:dyDescent="0.35">
      <c r="A19" s="15"/>
      <c r="B19" s="15"/>
      <c r="C19" s="19" t="s">
        <v>108</v>
      </c>
      <c r="D19" s="24">
        <f>IF(($D$11="Y"),Data!E8,Data!G8)</f>
        <v>4937</v>
      </c>
      <c r="E19" s="25">
        <f>IF(($D$11="Y"),Data!I8,Data!J8)</f>
        <v>6418</v>
      </c>
      <c r="F19" s="15"/>
      <c r="G19" s="11"/>
    </row>
    <row r="20" spans="1:7" x14ac:dyDescent="0.35">
      <c r="A20" s="15"/>
      <c r="B20" s="15"/>
      <c r="C20" s="19" t="s">
        <v>107</v>
      </c>
      <c r="D20" s="24">
        <f>IF(($D$11="Y"),Data!E9,Data!G9)</f>
        <v>1097</v>
      </c>
      <c r="E20" s="25">
        <f>IF(($D$11="Y"),Data!I9,Data!J9)</f>
        <v>1426</v>
      </c>
      <c r="F20" s="15"/>
      <c r="G20" s="11"/>
    </row>
    <row r="21" spans="1:7" x14ac:dyDescent="0.35">
      <c r="A21" s="15"/>
      <c r="B21" s="15"/>
      <c r="C21" s="19" t="s">
        <v>106</v>
      </c>
      <c r="D21" s="24">
        <f>IF(($D$11="Y"),Data!E10,Data!G10)</f>
        <v>1097</v>
      </c>
      <c r="E21" s="25">
        <f>IF(($D$11="Y"),Data!I10,Data!J10)</f>
        <v>1426</v>
      </c>
      <c r="F21" s="15"/>
      <c r="G21" s="11"/>
    </row>
    <row r="22" spans="1:7" x14ac:dyDescent="0.35">
      <c r="A22" s="15"/>
      <c r="B22" s="15"/>
      <c r="C22" s="19" t="s">
        <v>59</v>
      </c>
      <c r="D22" s="24">
        <f>IF(($D$11="Y"),Data!E11,Data!G11)</f>
        <v>3891</v>
      </c>
      <c r="E22" s="25">
        <f>IF(($D$11="Y"),Data!I11,Data!J11)</f>
        <v>5058</v>
      </c>
      <c r="F22" s="15"/>
      <c r="G22" s="11"/>
    </row>
    <row r="23" spans="1:7" x14ac:dyDescent="0.35">
      <c r="A23" s="15"/>
      <c r="B23" s="15"/>
      <c r="C23" s="19" t="s">
        <v>105</v>
      </c>
      <c r="D23" s="24">
        <f>IF(($D$11="Y"),Data!E12,Data!G12)</f>
        <v>1749</v>
      </c>
      <c r="E23" s="25">
        <f>IF(($D$11="Y"),Data!I12,Data!J12)</f>
        <v>2274</v>
      </c>
      <c r="F23" s="15"/>
      <c r="G23" s="11"/>
    </row>
    <row r="24" spans="1:7" x14ac:dyDescent="0.35">
      <c r="A24" s="15"/>
      <c r="B24" s="15"/>
      <c r="C24" s="19" t="s">
        <v>114</v>
      </c>
      <c r="D24" s="24">
        <f>IF(($D$11="Y"),Data!E13,Data!G13)</f>
        <v>1688</v>
      </c>
      <c r="E24" s="25">
        <f>IF(($D$11="Y"),Data!I13,Data!J13)</f>
        <v>2194</v>
      </c>
      <c r="F24" s="15"/>
      <c r="G24" s="11"/>
    </row>
    <row r="25" spans="1:7" x14ac:dyDescent="0.35">
      <c r="A25" s="15"/>
      <c r="B25" s="15"/>
      <c r="C25" s="19" t="s">
        <v>104</v>
      </c>
      <c r="D25" s="24">
        <f>IF(($D$11="Y"),Data!E14,Data!G14)</f>
        <v>2540</v>
      </c>
      <c r="E25" s="25">
        <f>IF(($D$11="Y"),Data!I14,Data!J14)</f>
        <v>3302</v>
      </c>
      <c r="F25" s="15"/>
      <c r="G25" s="11"/>
    </row>
    <row r="26" spans="1:7" x14ac:dyDescent="0.35">
      <c r="A26" s="15"/>
      <c r="B26" s="15"/>
      <c r="C26" s="19" t="s">
        <v>103</v>
      </c>
      <c r="D26" s="24">
        <f>IF(($D$11="Y"),Data!E15,Data!G15)</f>
        <v>2115</v>
      </c>
      <c r="E26" s="25">
        <f>IF(($D$11="Y"),Data!I15,Data!J15)</f>
        <v>2750</v>
      </c>
      <c r="F26" s="15"/>
      <c r="G26" s="11"/>
    </row>
    <row r="27" spans="1:7" ht="15" thickBot="1" x14ac:dyDescent="0.4">
      <c r="A27" s="15"/>
      <c r="B27" s="15"/>
      <c r="C27" s="19" t="s">
        <v>58</v>
      </c>
      <c r="D27" s="26">
        <f>SUM(D17:D26)</f>
        <v>58809</v>
      </c>
      <c r="E27" s="27">
        <f>SUM(E17:E26)</f>
        <v>76452</v>
      </c>
      <c r="F27" s="15"/>
      <c r="G27" s="11"/>
    </row>
    <row r="28" spans="1:7" x14ac:dyDescent="0.35">
      <c r="A28" s="15"/>
      <c r="B28" s="15"/>
      <c r="C28" s="19"/>
      <c r="D28" s="15"/>
      <c r="E28" s="15"/>
      <c r="F28" s="15"/>
      <c r="G28" s="11"/>
    </row>
    <row r="29" spans="1:7" ht="20" x14ac:dyDescent="0.4">
      <c r="A29" s="15"/>
      <c r="B29" s="15"/>
      <c r="C29" s="21" t="s">
        <v>17</v>
      </c>
      <c r="D29" s="15"/>
      <c r="E29" s="15"/>
      <c r="F29" s="15"/>
      <c r="G29" s="11"/>
    </row>
    <row r="30" spans="1:7" x14ac:dyDescent="0.35">
      <c r="A30" s="15"/>
      <c r="B30" s="15"/>
      <c r="C30" s="15" t="s">
        <v>18</v>
      </c>
      <c r="D30" s="15"/>
      <c r="E30" s="15"/>
      <c r="F30" s="15"/>
      <c r="G30" s="11"/>
    </row>
    <row r="31" spans="1:7" x14ac:dyDescent="0.35">
      <c r="A31" s="15"/>
      <c r="B31" s="15"/>
      <c r="C31" s="15" t="s">
        <v>19</v>
      </c>
      <c r="D31" s="12">
        <v>0</v>
      </c>
      <c r="E31" s="15"/>
      <c r="F31" s="15"/>
      <c r="G31" s="11"/>
    </row>
    <row r="32" spans="1:7" x14ac:dyDescent="0.35">
      <c r="A32" s="15"/>
      <c r="B32" s="15"/>
      <c r="C32" s="15" t="s">
        <v>20</v>
      </c>
      <c r="D32" s="12" t="s">
        <v>21</v>
      </c>
      <c r="E32" s="15"/>
      <c r="F32" s="15"/>
      <c r="G32" s="11"/>
    </row>
    <row r="33" spans="1:7" x14ac:dyDescent="0.35">
      <c r="A33" s="15"/>
      <c r="B33" s="15"/>
      <c r="C33" s="15" t="s">
        <v>22</v>
      </c>
      <c r="D33" s="12">
        <v>1</v>
      </c>
      <c r="E33" s="15"/>
      <c r="F33" s="15"/>
      <c r="G33" s="11"/>
    </row>
    <row r="34" spans="1:7" x14ac:dyDescent="0.35">
      <c r="A34" s="15"/>
      <c r="B34" s="15"/>
      <c r="C34" s="15"/>
      <c r="D34" s="15"/>
      <c r="E34" s="15"/>
      <c r="F34" s="15"/>
      <c r="G34" s="11"/>
    </row>
    <row r="35" spans="1:7" x14ac:dyDescent="0.35">
      <c r="A35" s="15"/>
      <c r="B35" s="15"/>
      <c r="C35" s="20" t="s">
        <v>111</v>
      </c>
      <c r="D35" s="22" t="s">
        <v>12</v>
      </c>
      <c r="E35" s="22" t="s">
        <v>122</v>
      </c>
      <c r="F35" s="15"/>
      <c r="G35" s="11"/>
    </row>
    <row r="36" spans="1:7" x14ac:dyDescent="0.35">
      <c r="A36" s="15"/>
      <c r="B36" s="15"/>
      <c r="C36" s="15" t="s">
        <v>117</v>
      </c>
      <c r="D36" s="7">
        <v>1500</v>
      </c>
      <c r="E36" s="8">
        <v>0</v>
      </c>
      <c r="F36" s="15"/>
      <c r="G36" s="11"/>
    </row>
    <row r="37" spans="1:7" ht="28.5" x14ac:dyDescent="0.35">
      <c r="A37" s="15"/>
      <c r="B37" s="15"/>
      <c r="C37" s="28" t="s">
        <v>118</v>
      </c>
      <c r="D37" s="7">
        <v>0</v>
      </c>
      <c r="E37" s="8">
        <f>2000</f>
        <v>2000</v>
      </c>
      <c r="F37" s="15"/>
      <c r="G37" s="11"/>
    </row>
    <row r="38" spans="1:7" x14ac:dyDescent="0.35">
      <c r="A38" s="15"/>
      <c r="B38" s="15"/>
      <c r="C38" s="15"/>
      <c r="D38" s="15"/>
      <c r="E38" s="15"/>
      <c r="F38" s="15"/>
      <c r="G38" s="11"/>
    </row>
    <row r="39" spans="1:7" ht="42.5" x14ac:dyDescent="0.35">
      <c r="A39" s="15"/>
      <c r="B39" s="15"/>
      <c r="C39" s="29" t="s">
        <v>23</v>
      </c>
      <c r="D39" s="30" t="s">
        <v>119</v>
      </c>
      <c r="E39" s="30" t="s">
        <v>120</v>
      </c>
      <c r="F39" s="28"/>
      <c r="G39" s="11"/>
    </row>
    <row r="40" spans="1:7" x14ac:dyDescent="0.35">
      <c r="A40" s="15"/>
      <c r="B40" s="15"/>
      <c r="C40" s="15" t="s">
        <v>24</v>
      </c>
      <c r="D40" s="31">
        <f>-Data!F23</f>
        <v>3950</v>
      </c>
      <c r="E40" s="31">
        <f>D40</f>
        <v>3950</v>
      </c>
      <c r="F40" s="15"/>
      <c r="G40" s="11"/>
    </row>
    <row r="41" spans="1:7" x14ac:dyDescent="0.35">
      <c r="A41" s="15"/>
      <c r="B41" s="15"/>
      <c r="C41" s="15" t="s">
        <v>25</v>
      </c>
      <c r="D41" s="32">
        <f>Data!D29</f>
        <v>3500</v>
      </c>
      <c r="E41" s="32">
        <f>Data!F29</f>
        <v>3463</v>
      </c>
      <c r="F41" s="15"/>
      <c r="G41" s="11"/>
    </row>
    <row r="42" spans="1:7" x14ac:dyDescent="0.35">
      <c r="A42" s="15"/>
      <c r="B42" s="15"/>
      <c r="C42" s="15" t="s">
        <v>26</v>
      </c>
      <c r="D42" s="32">
        <f>Data!D30</f>
        <v>2000</v>
      </c>
      <c r="E42" s="32">
        <f>Data!F30</f>
        <v>1979</v>
      </c>
      <c r="F42" s="15"/>
      <c r="G42" s="11"/>
    </row>
    <row r="43" spans="1:7" x14ac:dyDescent="0.35">
      <c r="A43" s="15"/>
      <c r="B43" s="15"/>
      <c r="C43" s="15" t="s">
        <v>124</v>
      </c>
      <c r="D43" s="32">
        <f>Data!D31</f>
        <v>67002</v>
      </c>
      <c r="E43" s="32">
        <f>Data!F31</f>
        <v>64169</v>
      </c>
      <c r="F43" s="15"/>
      <c r="G43" s="11"/>
    </row>
    <row r="44" spans="1:7" x14ac:dyDescent="0.35">
      <c r="A44" s="15"/>
      <c r="B44" s="15"/>
      <c r="C44" s="15" t="s">
        <v>28</v>
      </c>
      <c r="D44" s="33">
        <f>SUM(D40:D43)</f>
        <v>76452</v>
      </c>
      <c r="E44" s="33">
        <f>SUM(E40:E43)</f>
        <v>73561</v>
      </c>
      <c r="F44" s="15"/>
      <c r="G44" s="11"/>
    </row>
    <row r="45" spans="1:7" x14ac:dyDescent="0.35">
      <c r="A45" s="15"/>
      <c r="B45" s="15"/>
      <c r="C45" s="15"/>
      <c r="D45" s="15"/>
      <c r="E45" s="15"/>
      <c r="F45" s="15"/>
      <c r="G45" s="11"/>
    </row>
    <row r="46" spans="1:7" ht="42.5" x14ac:dyDescent="0.35">
      <c r="A46" s="15"/>
      <c r="B46" s="15"/>
      <c r="C46" s="34" t="s">
        <v>29</v>
      </c>
      <c r="D46" s="30" t="s">
        <v>119</v>
      </c>
      <c r="E46" s="30" t="s">
        <v>30</v>
      </c>
      <c r="F46" s="30" t="s">
        <v>121</v>
      </c>
      <c r="G46" s="11"/>
    </row>
    <row r="47" spans="1:7" x14ac:dyDescent="0.35">
      <c r="A47" s="15"/>
      <c r="B47" s="15"/>
      <c r="C47" s="20" t="s">
        <v>32</v>
      </c>
      <c r="D47" s="15"/>
      <c r="E47" s="15"/>
      <c r="F47" s="15"/>
      <c r="G47" s="11"/>
    </row>
    <row r="48" spans="1:7" x14ac:dyDescent="0.35">
      <c r="A48" s="15"/>
      <c r="B48" s="15"/>
      <c r="C48" s="17" t="s">
        <v>33</v>
      </c>
      <c r="D48" s="35">
        <f>E40</f>
        <v>3950</v>
      </c>
      <c r="E48" s="19"/>
      <c r="F48" s="35">
        <f>D48</f>
        <v>3950</v>
      </c>
      <c r="G48" s="11"/>
    </row>
    <row r="49" spans="1:8" x14ac:dyDescent="0.35">
      <c r="A49" s="15" t="s">
        <v>34</v>
      </c>
      <c r="B49" s="36">
        <f>Data!D29</f>
        <v>3500</v>
      </c>
      <c r="C49" s="15" t="s">
        <v>25</v>
      </c>
      <c r="D49" s="8">
        <f>Data!D29</f>
        <v>3500</v>
      </c>
      <c r="E49" s="37">
        <f>+Data!E29</f>
        <v>1.0569999999999999</v>
      </c>
      <c r="F49" s="33">
        <f>ROUND(D49*((100-E49)/100),0)</f>
        <v>3463</v>
      </c>
      <c r="G49" s="11"/>
    </row>
    <row r="50" spans="1:8" x14ac:dyDescent="0.35">
      <c r="A50" s="15" t="s">
        <v>34</v>
      </c>
      <c r="B50" s="36">
        <f>Data!D30</f>
        <v>2000</v>
      </c>
      <c r="C50" s="15" t="s">
        <v>26</v>
      </c>
      <c r="D50" s="8">
        <f>Data!D30</f>
        <v>2000</v>
      </c>
      <c r="E50" s="37">
        <f>+Data!E30</f>
        <v>1.0569999999999999</v>
      </c>
      <c r="F50" s="33">
        <f t="shared" ref="F50:F51" si="0">ROUND(D50*((100-E50)/100),0)</f>
        <v>1979</v>
      </c>
      <c r="G50" s="11"/>
    </row>
    <row r="51" spans="1:8" x14ac:dyDescent="0.35">
      <c r="A51" s="15" t="s">
        <v>34</v>
      </c>
      <c r="B51" s="36">
        <f>Data!D31</f>
        <v>67002</v>
      </c>
      <c r="C51" s="15" t="s">
        <v>124</v>
      </c>
      <c r="D51" s="8">
        <f>Data!D31</f>
        <v>67002</v>
      </c>
      <c r="E51" s="37">
        <f>+Data!E31</f>
        <v>4.2279999999999998</v>
      </c>
      <c r="F51" s="33">
        <f t="shared" si="0"/>
        <v>64169</v>
      </c>
      <c r="G51" s="11"/>
    </row>
    <row r="52" spans="1:8" x14ac:dyDescent="0.35">
      <c r="A52" s="15"/>
      <c r="B52" s="38"/>
      <c r="C52" s="15" t="s">
        <v>116</v>
      </c>
      <c r="D52" s="33">
        <f>SUM(D48:D51)</f>
        <v>76452</v>
      </c>
      <c r="E52" s="15"/>
      <c r="F52" s="33">
        <f>SUM(F48:F51)</f>
        <v>73561</v>
      </c>
      <c r="G52" s="11"/>
      <c r="H52" s="39"/>
    </row>
    <row r="53" spans="1:8" x14ac:dyDescent="0.35">
      <c r="A53" s="15"/>
      <c r="B53" s="38"/>
      <c r="C53" s="15"/>
      <c r="D53" s="15"/>
      <c r="E53" s="15"/>
      <c r="F53" s="15"/>
      <c r="G53" s="11"/>
    </row>
    <row r="54" spans="1:8" x14ac:dyDescent="0.35">
      <c r="A54" s="15"/>
      <c r="B54" s="38"/>
      <c r="C54" s="20" t="s">
        <v>35</v>
      </c>
      <c r="D54" s="15"/>
      <c r="E54" s="15"/>
      <c r="F54" s="15"/>
      <c r="G54" s="11"/>
    </row>
    <row r="55" spans="1:8" x14ac:dyDescent="0.35">
      <c r="A55" s="15" t="s">
        <v>34</v>
      </c>
      <c r="B55" s="36">
        <f>E44-F52</f>
        <v>0</v>
      </c>
      <c r="C55" s="15" t="s">
        <v>36</v>
      </c>
      <c r="D55" s="14">
        <v>0</v>
      </c>
      <c r="E55" s="15"/>
      <c r="F55" s="15"/>
      <c r="G55" s="11"/>
    </row>
    <row r="56" spans="1:8" x14ac:dyDescent="0.35">
      <c r="A56" s="15"/>
      <c r="B56" s="15"/>
      <c r="C56" s="15"/>
      <c r="D56" s="15"/>
      <c r="E56" s="15"/>
      <c r="F56" s="15"/>
      <c r="G56" s="11"/>
    </row>
    <row r="57" spans="1:8" ht="20" x14ac:dyDescent="0.4">
      <c r="A57" s="15"/>
      <c r="B57" s="15"/>
      <c r="C57" s="21" t="s">
        <v>113</v>
      </c>
      <c r="D57" s="15"/>
      <c r="E57" s="15"/>
      <c r="F57" s="15"/>
      <c r="G57" s="11"/>
    </row>
    <row r="58" spans="1:8" x14ac:dyDescent="0.35">
      <c r="A58" s="15" t="s">
        <v>37</v>
      </c>
      <c r="B58" s="15"/>
      <c r="C58" s="2" t="s">
        <v>38</v>
      </c>
      <c r="D58" s="15"/>
      <c r="E58" s="15"/>
      <c r="F58" s="15"/>
      <c r="G58" s="11"/>
    </row>
    <row r="59" spans="1:8" x14ac:dyDescent="0.35">
      <c r="A59" s="15" t="s">
        <v>39</v>
      </c>
      <c r="B59" s="15"/>
      <c r="C59" s="2" t="s">
        <v>40</v>
      </c>
      <c r="D59" s="15"/>
      <c r="E59" s="15"/>
      <c r="F59" s="15"/>
      <c r="G59" s="11"/>
    </row>
    <row r="60" spans="1:8" x14ac:dyDescent="0.35">
      <c r="A60" s="15" t="s">
        <v>41</v>
      </c>
      <c r="B60" s="15"/>
      <c r="C60" s="3" t="s">
        <v>42</v>
      </c>
      <c r="D60" s="15"/>
      <c r="E60" s="15"/>
      <c r="F60" s="15"/>
      <c r="G60" s="11"/>
    </row>
    <row r="61" spans="1:8" x14ac:dyDescent="0.35">
      <c r="A61" s="15" t="s">
        <v>43</v>
      </c>
      <c r="B61" s="15"/>
      <c r="C61" s="3" t="s">
        <v>44</v>
      </c>
      <c r="D61" s="15"/>
      <c r="E61" s="15"/>
      <c r="F61" s="15"/>
      <c r="G61" s="11"/>
    </row>
    <row r="62" spans="1:8" x14ac:dyDescent="0.35">
      <c r="A62" s="15" t="s">
        <v>45</v>
      </c>
      <c r="B62" s="15"/>
      <c r="C62" s="3" t="s">
        <v>46</v>
      </c>
      <c r="D62" s="15"/>
      <c r="E62" s="15"/>
      <c r="F62" s="15"/>
      <c r="G62" s="11"/>
    </row>
    <row r="63" spans="1:8" x14ac:dyDescent="0.35">
      <c r="A63" s="15" t="s">
        <v>47</v>
      </c>
      <c r="B63" s="15"/>
      <c r="C63" s="3" t="s">
        <v>48</v>
      </c>
      <c r="D63" s="15"/>
      <c r="E63" s="15"/>
      <c r="F63" s="15"/>
      <c r="G63" s="11"/>
    </row>
    <row r="64" spans="1:8" x14ac:dyDescent="0.35">
      <c r="A64" s="15" t="s">
        <v>49</v>
      </c>
      <c r="B64" s="15"/>
      <c r="C64" s="3" t="s">
        <v>50</v>
      </c>
      <c r="D64" s="15"/>
      <c r="E64" s="15"/>
      <c r="F64" s="15"/>
      <c r="G64" s="11"/>
    </row>
    <row r="65" spans="1:7" x14ac:dyDescent="0.35">
      <c r="A65" s="15" t="s">
        <v>51</v>
      </c>
      <c r="B65" s="15"/>
      <c r="C65" s="4" t="s">
        <v>52</v>
      </c>
      <c r="D65" s="15"/>
      <c r="E65" s="15"/>
      <c r="F65" s="15"/>
      <c r="G65" s="11"/>
    </row>
    <row r="66" spans="1:7" x14ac:dyDescent="0.35">
      <c r="A66" s="15" t="s">
        <v>53</v>
      </c>
      <c r="B66" s="15"/>
      <c r="C66" s="1">
        <v>38716</v>
      </c>
      <c r="D66" s="15"/>
      <c r="E66" s="15"/>
      <c r="F66" s="15"/>
      <c r="G66" s="11"/>
    </row>
    <row r="67" spans="1:7" x14ac:dyDescent="0.35">
      <c r="A67" s="15" t="s">
        <v>54</v>
      </c>
      <c r="B67" s="15"/>
      <c r="C67" s="5" t="s">
        <v>125</v>
      </c>
      <c r="D67" s="15"/>
      <c r="E67" s="15"/>
      <c r="F67" s="15"/>
      <c r="G67" s="11"/>
    </row>
    <row r="68" spans="1:7" x14ac:dyDescent="0.35">
      <c r="A68" s="15" t="s">
        <v>55</v>
      </c>
      <c r="B68" s="15"/>
      <c r="C68" s="6" t="s">
        <v>56</v>
      </c>
      <c r="D68" s="15"/>
      <c r="E68" s="15"/>
      <c r="F68" s="15"/>
      <c r="G68" s="11"/>
    </row>
    <row r="69" spans="1:7" x14ac:dyDescent="0.35">
      <c r="A69" s="15" t="s">
        <v>57</v>
      </c>
      <c r="B69" s="15"/>
      <c r="C69" s="6" t="s">
        <v>112</v>
      </c>
      <c r="D69" s="15"/>
      <c r="E69" s="15"/>
      <c r="F69" s="15"/>
      <c r="G69" s="11"/>
    </row>
    <row r="70" spans="1:7" x14ac:dyDescent="0.35">
      <c r="A70" s="11"/>
      <c r="B70" s="11"/>
      <c r="C70" s="11"/>
      <c r="D70" s="11"/>
      <c r="E70" s="11"/>
      <c r="F70" s="11"/>
      <c r="G70" s="11"/>
    </row>
    <row r="71" spans="1:7" x14ac:dyDescent="0.35">
      <c r="A71" s="11"/>
      <c r="B71" s="11"/>
      <c r="C71" s="11"/>
      <c r="D71" s="11"/>
      <c r="E71" s="11"/>
      <c r="F71" s="11"/>
      <c r="G71" s="11"/>
    </row>
    <row r="72" spans="1:7" x14ac:dyDescent="0.35">
      <c r="A72" s="11"/>
      <c r="B72" s="11"/>
      <c r="C72" s="11"/>
      <c r="D72" s="11"/>
      <c r="E72" s="11"/>
      <c r="F72" s="11"/>
      <c r="G72" s="11"/>
    </row>
    <row r="73" spans="1:7" x14ac:dyDescent="0.35">
      <c r="A73" s="11"/>
      <c r="B73" s="11"/>
      <c r="C73" s="11"/>
      <c r="D73" s="11"/>
      <c r="E73" s="11"/>
      <c r="F73" s="11"/>
      <c r="G73" s="11"/>
    </row>
    <row r="74" spans="1:7" x14ac:dyDescent="0.35">
      <c r="A74" s="11"/>
      <c r="B74" s="11"/>
      <c r="C74" s="11"/>
      <c r="D74" s="11"/>
      <c r="E74" s="11"/>
      <c r="F74" s="11"/>
      <c r="G74" s="11"/>
    </row>
    <row r="75" spans="1:7" x14ac:dyDescent="0.35">
      <c r="A75" s="11"/>
      <c r="B75" s="11"/>
      <c r="C75" s="11"/>
      <c r="D75" s="11"/>
      <c r="E75" s="11"/>
      <c r="F75" s="11"/>
      <c r="G75" s="11"/>
    </row>
    <row r="76" spans="1:7" x14ac:dyDescent="0.35">
      <c r="A76" s="11"/>
      <c r="B76" s="11"/>
      <c r="C76" s="11"/>
      <c r="D76" s="11"/>
      <c r="E76" s="11"/>
      <c r="F76" s="11"/>
      <c r="G76" s="11"/>
    </row>
    <row r="77" spans="1:7" x14ac:dyDescent="0.35">
      <c r="A77" s="11"/>
      <c r="B77" s="11"/>
      <c r="C77" s="11"/>
      <c r="D77" s="11"/>
      <c r="E77" s="11"/>
      <c r="F77" s="11"/>
      <c r="G77" s="11"/>
    </row>
    <row r="78" spans="1:7" x14ac:dyDescent="0.35">
      <c r="A78" s="11"/>
      <c r="B78" s="11"/>
      <c r="C78" s="11"/>
      <c r="D78" s="11"/>
      <c r="E78" s="11"/>
      <c r="F78" s="11"/>
      <c r="G78" s="11"/>
    </row>
    <row r="79" spans="1:7" x14ac:dyDescent="0.35">
      <c r="A79" s="11"/>
      <c r="B79" s="11"/>
      <c r="C79" s="11"/>
      <c r="D79" s="11"/>
      <c r="E79" s="11"/>
      <c r="F79" s="11"/>
      <c r="G79" s="11"/>
    </row>
  </sheetData>
  <sheetProtection algorithmName="SHA-512" hashValue="BDuaCOBKLI7NPCGKdKhmatbtqgTKb7oLDcQql+O5QF9et/N2nV8BQuZZuGJwXXp5/ag845i64Oevyr6JxU9q0A==" saltValue="HFnQ81V1x//KGYqTDnvNuA==" spinCount="100000" sheet="1" objects="1" scenarios="1"/>
  <hyperlinks>
    <hyperlink ref="C13" r:id="rId1" xr:uid="{E72256B0-90A3-41A0-BE83-74E57844EBA4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94B7C9-934B-4E5C-B45E-05023C8BC225}">
  <sheetPr codeName="Sheet2"/>
  <dimension ref="A1:R36"/>
  <sheetViews>
    <sheetView workbookViewId="0">
      <selection activeCell="E29" sqref="E29"/>
    </sheetView>
  </sheetViews>
  <sheetFormatPr defaultColWidth="9.1796875" defaultRowHeight="14.5" x14ac:dyDescent="0.35"/>
  <cols>
    <col min="1" max="1" width="9.1796875" style="10"/>
    <col min="2" max="2" width="21.54296875" style="10" customWidth="1"/>
    <col min="3" max="7" width="9.1796875" style="10"/>
    <col min="8" max="8" width="14.453125" style="10" bestFit="1" customWidth="1"/>
    <col min="9" max="9" width="14.453125" style="10" customWidth="1"/>
    <col min="10" max="10" width="14" style="10" bestFit="1" customWidth="1"/>
    <col min="11" max="11" width="9.1796875" style="10"/>
    <col min="12" max="12" width="15.54296875" style="10" customWidth="1"/>
    <col min="13" max="13" width="9.1796875" style="10"/>
    <col min="14" max="14" width="15.81640625" style="10" customWidth="1"/>
    <col min="15" max="16384" width="9.1796875" style="10"/>
  </cols>
  <sheetData>
    <row r="1" spans="1:18" ht="18.5" x14ac:dyDescent="0.45">
      <c r="A1"/>
      <c r="B1" s="40" t="s">
        <v>11</v>
      </c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</row>
    <row r="2" spans="1:18" x14ac:dyDescent="0.35">
      <c r="A2"/>
      <c r="B2" t="s">
        <v>60</v>
      </c>
      <c r="C2" s="41" t="s">
        <v>4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x14ac:dyDescent="0.35">
      <c r="A3"/>
      <c r="B3" t="s">
        <v>61</v>
      </c>
      <c r="C3" t="s">
        <v>62</v>
      </c>
      <c r="D3" s="41">
        <v>37</v>
      </c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x14ac:dyDescent="0.35">
      <c r="A4"/>
      <c r="B4"/>
      <c r="C4" t="s">
        <v>63</v>
      </c>
      <c r="D4" s="41">
        <v>50</v>
      </c>
      <c r="E4"/>
      <c r="F4"/>
      <c r="G4"/>
      <c r="H4"/>
      <c r="I4"/>
      <c r="J4"/>
      <c r="K4"/>
      <c r="L4"/>
      <c r="M4"/>
      <c r="N4"/>
      <c r="O4"/>
      <c r="P4"/>
      <c r="Q4"/>
      <c r="R4"/>
    </row>
    <row r="5" spans="1:18" x14ac:dyDescent="0.35">
      <c r="A5"/>
      <c r="B5" t="s">
        <v>64</v>
      </c>
      <c r="C5"/>
      <c r="D5" s="41">
        <v>1.3</v>
      </c>
      <c r="E5"/>
      <c r="F5"/>
      <c r="G5"/>
      <c r="H5"/>
      <c r="I5"/>
      <c r="J5"/>
      <c r="K5"/>
      <c r="L5"/>
      <c r="M5"/>
      <c r="N5"/>
      <c r="O5"/>
      <c r="P5"/>
      <c r="Q5"/>
      <c r="R5"/>
    </row>
    <row r="6" spans="1:18" x14ac:dyDescent="0.35">
      <c r="A6"/>
      <c r="B6"/>
      <c r="C6" t="s">
        <v>65</v>
      </c>
      <c r="D6" t="s">
        <v>66</v>
      </c>
      <c r="E6" t="s">
        <v>67</v>
      </c>
      <c r="F6" t="s">
        <v>66</v>
      </c>
      <c r="G6" t="s">
        <v>68</v>
      </c>
      <c r="H6" t="s">
        <v>69</v>
      </c>
      <c r="I6" t="s">
        <v>70</v>
      </c>
      <c r="J6" t="s">
        <v>71</v>
      </c>
      <c r="K6"/>
      <c r="L6"/>
      <c r="M6"/>
      <c r="N6"/>
      <c r="O6"/>
      <c r="P6"/>
      <c r="Q6"/>
      <c r="R6"/>
    </row>
    <row r="7" spans="1:18" x14ac:dyDescent="0.35">
      <c r="A7"/>
      <c r="B7" t="s">
        <v>13</v>
      </c>
      <c r="C7" s="42">
        <v>335</v>
      </c>
      <c r="D7" s="43">
        <f>$D$3</f>
        <v>37</v>
      </c>
      <c r="E7" s="44">
        <f>ROUND((C7*D7),0)</f>
        <v>12395</v>
      </c>
      <c r="F7" s="43">
        <f>$D$4</f>
        <v>50</v>
      </c>
      <c r="G7" s="44">
        <f>ROUND((C7*F7),0)</f>
        <v>16750</v>
      </c>
      <c r="H7" s="43">
        <f>$D$5</f>
        <v>1.3</v>
      </c>
      <c r="I7" s="45">
        <f>ROUND((E7*H7),0)</f>
        <v>16114</v>
      </c>
      <c r="J7" s="45">
        <f>ROUND((G7*H7),0)</f>
        <v>21775</v>
      </c>
      <c r="K7"/>
      <c r="L7"/>
      <c r="M7"/>
      <c r="N7"/>
      <c r="O7"/>
      <c r="P7"/>
      <c r="Q7"/>
      <c r="R7"/>
    </row>
    <row r="8" spans="1:18" x14ac:dyDescent="0.35">
      <c r="A8"/>
      <c r="B8" t="s">
        <v>14</v>
      </c>
      <c r="C8" s="42">
        <v>133.43</v>
      </c>
      <c r="D8" s="43">
        <f t="shared" ref="D8:D12" si="0">$D$3</f>
        <v>37</v>
      </c>
      <c r="E8" s="44">
        <f t="shared" ref="E8:E12" si="1">ROUND((C8*D8),0)</f>
        <v>4937</v>
      </c>
      <c r="F8" s="43">
        <f t="shared" ref="F8:F12" si="2">$D$4</f>
        <v>50</v>
      </c>
      <c r="G8" s="44">
        <f t="shared" ref="G8:G12" si="3">ROUND((C8*F8),0)</f>
        <v>6672</v>
      </c>
      <c r="H8" s="43">
        <f t="shared" ref="H8:H15" si="4">$D$5</f>
        <v>1.3</v>
      </c>
      <c r="I8" s="45">
        <f t="shared" ref="I8:I15" si="5">ROUND((E8*H8),0)</f>
        <v>6418</v>
      </c>
      <c r="J8" s="45">
        <f t="shared" ref="J8:J15" si="6">ROUND((G8*H8),0)</f>
        <v>8674</v>
      </c>
      <c r="K8"/>
      <c r="L8"/>
      <c r="M8"/>
      <c r="N8"/>
      <c r="O8"/>
      <c r="P8"/>
      <c r="Q8"/>
      <c r="R8"/>
    </row>
    <row r="9" spans="1:18" x14ac:dyDescent="0.35">
      <c r="A9"/>
      <c r="B9" t="s">
        <v>72</v>
      </c>
      <c r="C9" s="42">
        <v>29.65</v>
      </c>
      <c r="D9" s="43">
        <f t="shared" si="0"/>
        <v>37</v>
      </c>
      <c r="E9" s="44">
        <f t="shared" si="1"/>
        <v>1097</v>
      </c>
      <c r="F9" s="43">
        <f t="shared" si="2"/>
        <v>50</v>
      </c>
      <c r="G9" s="44">
        <f t="shared" si="3"/>
        <v>1483</v>
      </c>
      <c r="H9" s="43">
        <f t="shared" si="4"/>
        <v>1.3</v>
      </c>
      <c r="I9" s="45">
        <f t="shared" si="5"/>
        <v>1426</v>
      </c>
      <c r="J9" s="45">
        <f t="shared" si="6"/>
        <v>1928</v>
      </c>
      <c r="K9"/>
      <c r="L9"/>
      <c r="M9"/>
      <c r="N9"/>
      <c r="O9"/>
      <c r="P9"/>
      <c r="Q9"/>
      <c r="R9"/>
    </row>
    <row r="10" spans="1:18" x14ac:dyDescent="0.35">
      <c r="A10"/>
      <c r="B10" t="s">
        <v>73</v>
      </c>
      <c r="C10" s="42">
        <v>29.65</v>
      </c>
      <c r="D10" s="43">
        <f t="shared" si="0"/>
        <v>37</v>
      </c>
      <c r="E10" s="44">
        <f t="shared" si="1"/>
        <v>1097</v>
      </c>
      <c r="F10" s="43">
        <f t="shared" si="2"/>
        <v>50</v>
      </c>
      <c r="G10" s="44">
        <f t="shared" si="3"/>
        <v>1483</v>
      </c>
      <c r="H10" s="43">
        <f t="shared" si="4"/>
        <v>1.3</v>
      </c>
      <c r="I10" s="45">
        <f t="shared" si="5"/>
        <v>1426</v>
      </c>
      <c r="J10" s="45">
        <f t="shared" si="6"/>
        <v>1928</v>
      </c>
      <c r="K10"/>
      <c r="L10"/>
      <c r="M10"/>
      <c r="N10"/>
      <c r="O10"/>
      <c r="P10"/>
      <c r="Q10"/>
      <c r="R10"/>
    </row>
    <row r="11" spans="1:18" x14ac:dyDescent="0.35">
      <c r="A11"/>
      <c r="B11" t="s">
        <v>16</v>
      </c>
      <c r="C11" s="42">
        <v>105.16</v>
      </c>
      <c r="D11" s="43">
        <f t="shared" si="0"/>
        <v>37</v>
      </c>
      <c r="E11" s="44">
        <f t="shared" si="1"/>
        <v>3891</v>
      </c>
      <c r="F11" s="43">
        <f t="shared" si="2"/>
        <v>50</v>
      </c>
      <c r="G11" s="44">
        <f t="shared" si="3"/>
        <v>5258</v>
      </c>
      <c r="H11" s="43">
        <f t="shared" si="4"/>
        <v>1.3</v>
      </c>
      <c r="I11" s="45">
        <f t="shared" si="5"/>
        <v>5058</v>
      </c>
      <c r="J11" s="45">
        <f t="shared" si="6"/>
        <v>6835</v>
      </c>
      <c r="K11"/>
      <c r="L11"/>
      <c r="M11"/>
      <c r="N11"/>
      <c r="O11"/>
      <c r="P11"/>
      <c r="Q11"/>
      <c r="R11"/>
    </row>
    <row r="12" spans="1:18" x14ac:dyDescent="0.35">
      <c r="A12"/>
      <c r="B12" t="s">
        <v>15</v>
      </c>
      <c r="C12" s="42">
        <v>47.28</v>
      </c>
      <c r="D12" s="43">
        <f t="shared" si="0"/>
        <v>37</v>
      </c>
      <c r="E12" s="44">
        <f t="shared" si="1"/>
        <v>1749</v>
      </c>
      <c r="F12" s="43">
        <f t="shared" si="2"/>
        <v>50</v>
      </c>
      <c r="G12" s="44">
        <f t="shared" si="3"/>
        <v>2364</v>
      </c>
      <c r="H12" s="43">
        <f t="shared" si="4"/>
        <v>1.3</v>
      </c>
      <c r="I12" s="45">
        <f t="shared" si="5"/>
        <v>2274</v>
      </c>
      <c r="J12" s="45">
        <f t="shared" si="6"/>
        <v>3073</v>
      </c>
      <c r="K12"/>
      <c r="L12"/>
      <c r="M12"/>
      <c r="N12"/>
      <c r="O12"/>
      <c r="P12"/>
      <c r="Q12"/>
      <c r="R12"/>
    </row>
    <row r="13" spans="1:18" x14ac:dyDescent="0.35">
      <c r="A13"/>
      <c r="B13" t="s">
        <v>74</v>
      </c>
      <c r="C13" s="43"/>
      <c r="D13" s="43"/>
      <c r="E13" s="46">
        <v>1688</v>
      </c>
      <c r="F13" s="47"/>
      <c r="G13" s="44">
        <f>E13</f>
        <v>1688</v>
      </c>
      <c r="H13" s="43">
        <f t="shared" si="4"/>
        <v>1.3</v>
      </c>
      <c r="I13" s="45">
        <f t="shared" si="5"/>
        <v>2194</v>
      </c>
      <c r="J13" s="45">
        <f t="shared" si="6"/>
        <v>2194</v>
      </c>
      <c r="K13"/>
      <c r="L13"/>
      <c r="M13"/>
      <c r="N13"/>
      <c r="O13"/>
      <c r="P13"/>
      <c r="Q13"/>
      <c r="R13"/>
    </row>
    <row r="14" spans="1:18" x14ac:dyDescent="0.35">
      <c r="A14"/>
      <c r="B14" t="s">
        <v>75</v>
      </c>
      <c r="C14" s="43"/>
      <c r="D14" s="43"/>
      <c r="E14" s="46">
        <v>2540</v>
      </c>
      <c r="F14" s="47"/>
      <c r="G14" s="44">
        <v>2142</v>
      </c>
      <c r="H14" s="43">
        <f t="shared" si="4"/>
        <v>1.3</v>
      </c>
      <c r="I14" s="45">
        <f t="shared" si="5"/>
        <v>3302</v>
      </c>
      <c r="J14" s="45">
        <f t="shared" si="6"/>
        <v>2785</v>
      </c>
      <c r="K14"/>
      <c r="L14"/>
      <c r="M14"/>
      <c r="N14"/>
      <c r="O14"/>
      <c r="P14"/>
      <c r="Q14"/>
      <c r="R14"/>
    </row>
    <row r="15" spans="1:18" x14ac:dyDescent="0.35">
      <c r="A15"/>
      <c r="B15" t="s">
        <v>76</v>
      </c>
      <c r="C15" s="43"/>
      <c r="D15" s="43"/>
      <c r="E15" s="46">
        <v>2115</v>
      </c>
      <c r="F15" s="47"/>
      <c r="G15" s="44">
        <v>0</v>
      </c>
      <c r="H15" s="43">
        <f t="shared" si="4"/>
        <v>1.3</v>
      </c>
      <c r="I15" s="45">
        <f t="shared" si="5"/>
        <v>2750</v>
      </c>
      <c r="J15" s="45">
        <f t="shared" si="6"/>
        <v>0</v>
      </c>
      <c r="K15"/>
      <c r="L15"/>
      <c r="M15"/>
      <c r="N15"/>
      <c r="O15"/>
      <c r="P15"/>
      <c r="Q15"/>
      <c r="R15"/>
    </row>
    <row r="16" spans="1:18" x14ac:dyDescent="0.35">
      <c r="A16"/>
      <c r="B16" t="s">
        <v>77</v>
      </c>
      <c r="C16"/>
      <c r="D16"/>
      <c r="E16" s="44">
        <f>SUM(E7:E15)</f>
        <v>31509</v>
      </c>
      <c r="F16" s="47"/>
      <c r="G16" s="44">
        <f>SUM(G7:G15)</f>
        <v>37840</v>
      </c>
      <c r="H16" s="47"/>
      <c r="I16" s="45">
        <f>SUM(I7:I15)</f>
        <v>40962</v>
      </c>
      <c r="J16" s="45">
        <f>SUM(J7:J15)</f>
        <v>49192</v>
      </c>
      <c r="K16"/>
      <c r="L16"/>
      <c r="M16"/>
      <c r="N16"/>
      <c r="O16"/>
      <c r="P16"/>
      <c r="Q16"/>
      <c r="R16"/>
    </row>
    <row r="17" spans="1:18" x14ac:dyDescent="0.3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</row>
    <row r="18" spans="1:18" ht="18.5" x14ac:dyDescent="0.45">
      <c r="A18"/>
      <c r="B18" s="40" t="s">
        <v>17</v>
      </c>
      <c r="C18"/>
      <c r="D18"/>
      <c r="E18"/>
      <c r="F18"/>
      <c r="G18"/>
      <c r="H18"/>
      <c r="I18" s="48" t="s">
        <v>78</v>
      </c>
      <c r="J18" s="49"/>
      <c r="K18" s="49"/>
      <c r="L18" s="49"/>
      <c r="M18" s="49"/>
      <c r="N18" s="49"/>
      <c r="O18" s="49"/>
      <c r="P18" s="49"/>
      <c r="Q18"/>
      <c r="R18"/>
    </row>
    <row r="19" spans="1:18" x14ac:dyDescent="0.35">
      <c r="A19"/>
      <c r="B19"/>
      <c r="C19"/>
      <c r="D19"/>
      <c r="E19"/>
      <c r="F19"/>
      <c r="G19"/>
      <c r="H19"/>
      <c r="I19" s="50" t="s">
        <v>79</v>
      </c>
      <c r="J19" s="50"/>
      <c r="K19" s="50"/>
      <c r="L19" s="51"/>
      <c r="M19" s="50" t="s">
        <v>80</v>
      </c>
      <c r="N19" s="51"/>
      <c r="O19" s="51"/>
      <c r="P19" s="52"/>
      <c r="Q19"/>
      <c r="R19"/>
    </row>
    <row r="20" spans="1:18" x14ac:dyDescent="0.35">
      <c r="A20"/>
      <c r="B20" t="s">
        <v>81</v>
      </c>
      <c r="C20"/>
      <c r="D20" s="53"/>
      <c r="E20" s="53"/>
      <c r="F20" s="53">
        <f>IF(('Cost of Attendance'!$D$11="y"),('Cost of Attendance'!E17+Data!I16),('Cost of Attendance'!E17+Data!J16))</f>
        <v>76452</v>
      </c>
      <c r="G20" s="53"/>
      <c r="H20"/>
      <c r="I20" s="54" t="s">
        <v>82</v>
      </c>
      <c r="J20" s="55" t="s">
        <v>83</v>
      </c>
      <c r="K20" s="55" t="s">
        <v>84</v>
      </c>
      <c r="L20" s="51"/>
      <c r="M20" s="51" t="s">
        <v>82</v>
      </c>
      <c r="N20" s="55" t="s">
        <v>83</v>
      </c>
      <c r="O20" s="55" t="s">
        <v>84</v>
      </c>
      <c r="P20" s="52"/>
      <c r="Q20"/>
      <c r="R20"/>
    </row>
    <row r="21" spans="1:18" x14ac:dyDescent="0.35">
      <c r="A21"/>
      <c r="B21" t="s">
        <v>85</v>
      </c>
      <c r="C21" s="56">
        <f>SUM('Cost of Attendance'!D36:D37)</f>
        <v>1500</v>
      </c>
      <c r="D21" s="53" t="s">
        <v>86</v>
      </c>
      <c r="E21" s="53">
        <f>C21*D5</f>
        <v>1950</v>
      </c>
      <c r="F21" s="53"/>
      <c r="G21"/>
      <c r="H21"/>
      <c r="I21" s="57">
        <f>IF(C25="Y",0,M21)</f>
        <v>0</v>
      </c>
      <c r="J21" s="57">
        <f>IF((C25="N"),M21,0)</f>
        <v>0</v>
      </c>
      <c r="K21" s="58">
        <f>IF((C25="N"),O21,0)</f>
        <v>0</v>
      </c>
      <c r="L21" s="59" t="s">
        <v>87</v>
      </c>
      <c r="M21" s="60">
        <v>0</v>
      </c>
      <c r="N21" s="60">
        <v>0</v>
      </c>
      <c r="O21" s="60">
        <v>20500</v>
      </c>
      <c r="P21" s="49"/>
      <c r="Q21"/>
      <c r="R21"/>
    </row>
    <row r="22" spans="1:18" x14ac:dyDescent="0.35">
      <c r="A22"/>
      <c r="B22" t="s">
        <v>88</v>
      </c>
      <c r="C22"/>
      <c r="D22" s="53"/>
      <c r="E22" s="53">
        <f>SUM('Cost of Attendance'!E36:E37)</f>
        <v>2000</v>
      </c>
      <c r="F22" s="53"/>
      <c r="G22"/>
      <c r="H22"/>
      <c r="I22" s="57">
        <f>IF((AND(C25="Y",C27=1)),M22,0)</f>
        <v>3500</v>
      </c>
      <c r="J22" s="57">
        <f>IF((AND(C25="Y",C26="D",C27=1)),N22,0)</f>
        <v>2000</v>
      </c>
      <c r="K22" s="59">
        <f>IF((AND(C25="Y",C26="I",C27=1)),O22,0)</f>
        <v>0</v>
      </c>
      <c r="L22" s="59" t="s">
        <v>89</v>
      </c>
      <c r="M22" s="60">
        <v>3500</v>
      </c>
      <c r="N22" s="60">
        <v>2000</v>
      </c>
      <c r="O22" s="60">
        <v>6000</v>
      </c>
      <c r="P22" s="49"/>
      <c r="Q22"/>
      <c r="R22"/>
    </row>
    <row r="23" spans="1:18" x14ac:dyDescent="0.35">
      <c r="A23"/>
      <c r="B23" t="s">
        <v>24</v>
      </c>
      <c r="C23"/>
      <c r="D23" s="53"/>
      <c r="E23" s="53"/>
      <c r="F23" s="53">
        <f>-SUM(E21:E22)</f>
        <v>-3950</v>
      </c>
      <c r="G23"/>
      <c r="H23"/>
      <c r="I23" s="57">
        <f>IF((AND(C25="Y",C27=2)),M23,0)</f>
        <v>0</v>
      </c>
      <c r="J23" s="57">
        <f>IF((AND(C25="Y",C26="D",C27=2)),N23,0)</f>
        <v>0</v>
      </c>
      <c r="K23" s="59">
        <f>IF((AND(C25="Y",C26="I",C27=2)),O23,0)</f>
        <v>0</v>
      </c>
      <c r="L23" s="59" t="s">
        <v>90</v>
      </c>
      <c r="M23" s="60">
        <v>4500</v>
      </c>
      <c r="N23" s="60">
        <v>2000</v>
      </c>
      <c r="O23" s="60">
        <v>6000</v>
      </c>
      <c r="P23" s="49"/>
      <c r="Q23"/>
      <c r="R23"/>
    </row>
    <row r="24" spans="1:18" x14ac:dyDescent="0.35">
      <c r="A24"/>
      <c r="B24" t="s">
        <v>91</v>
      </c>
      <c r="C24"/>
      <c r="D24" s="53"/>
      <c r="E24" s="53"/>
      <c r="F24" s="53">
        <f>SUM(F20:F23)</f>
        <v>72502</v>
      </c>
      <c r="G24"/>
      <c r="H24"/>
      <c r="I24" s="57">
        <f>IF((AND(C25="Y",C27&gt;2)),M24,0)</f>
        <v>0</v>
      </c>
      <c r="J24" s="57">
        <f>IF((AND(C25="Y",C26="D",C27&gt;2)),N24,0)</f>
        <v>0</v>
      </c>
      <c r="K24" s="59">
        <f>IF((AND(C25="Y",C26="I",C27=3)),O24,0)</f>
        <v>0</v>
      </c>
      <c r="L24" s="59" t="s">
        <v>92</v>
      </c>
      <c r="M24" s="60">
        <v>5500</v>
      </c>
      <c r="N24" s="60">
        <v>2000</v>
      </c>
      <c r="O24" s="60">
        <v>7000</v>
      </c>
      <c r="P24" s="49"/>
      <c r="Q24"/>
      <c r="R24"/>
    </row>
    <row r="25" spans="1:18" x14ac:dyDescent="0.35">
      <c r="A25"/>
      <c r="B25" t="s">
        <v>62</v>
      </c>
      <c r="C25" s="43" t="str">
        <f>'Cost of Attendance'!D11</f>
        <v>Y</v>
      </c>
      <c r="D25" s="53"/>
      <c r="E25" s="53"/>
      <c r="F25" s="53"/>
      <c r="G25"/>
      <c r="H25"/>
      <c r="I25" s="57">
        <f>MAX(I21:I24)</f>
        <v>3500</v>
      </c>
      <c r="J25" s="58"/>
      <c r="K25" s="58">
        <f>MAX(J21:K24)</f>
        <v>2000</v>
      </c>
      <c r="L25" s="61" t="s">
        <v>93</v>
      </c>
      <c r="M25" s="61"/>
      <c r="N25" s="61" t="s">
        <v>94</v>
      </c>
      <c r="O25" s="59"/>
      <c r="P25" s="49"/>
      <c r="Q25"/>
      <c r="R25"/>
    </row>
    <row r="26" spans="1:18" x14ac:dyDescent="0.35">
      <c r="A26"/>
      <c r="B26" t="s">
        <v>95</v>
      </c>
      <c r="C26" s="43" t="str">
        <f>'Cost of Attendance'!D32</f>
        <v>D</v>
      </c>
      <c r="D26" s="53"/>
      <c r="E26" s="53"/>
      <c r="F26" s="53"/>
      <c r="G26"/>
      <c r="H26"/>
      <c r="I26"/>
      <c r="J26"/>
      <c r="K26"/>
      <c r="L26"/>
      <c r="M26"/>
      <c r="N26"/>
      <c r="O26" s="59"/>
      <c r="P26" s="49"/>
      <c r="Q26"/>
      <c r="R26"/>
    </row>
    <row r="27" spans="1:18" ht="18.5" x14ac:dyDescent="0.45">
      <c r="A27"/>
      <c r="B27" t="s">
        <v>60</v>
      </c>
      <c r="C27" s="43">
        <f>'Cost of Attendance'!D33</f>
        <v>1</v>
      </c>
      <c r="D27" s="53"/>
      <c r="E27" s="53"/>
      <c r="F27" s="53"/>
      <c r="G27"/>
      <c r="H27"/>
      <c r="I27" s="48" t="s">
        <v>96</v>
      </c>
      <c r="J27"/>
      <c r="K27" s="15" t="s">
        <v>123</v>
      </c>
      <c r="L27"/>
      <c r="M27"/>
      <c r="N27"/>
      <c r="O27"/>
      <c r="P27"/>
      <c r="Q27"/>
      <c r="R27"/>
    </row>
    <row r="28" spans="1:18" x14ac:dyDescent="0.35">
      <c r="A28"/>
      <c r="B28"/>
      <c r="C28"/>
      <c r="D28"/>
      <c r="E28" s="53" t="s">
        <v>97</v>
      </c>
      <c r="F28" s="53" t="s">
        <v>31</v>
      </c>
      <c r="G28"/>
      <c r="H28"/>
      <c r="I28" t="s">
        <v>98</v>
      </c>
      <c r="J28" s="53">
        <f>F24-D29-D30</f>
        <v>67002</v>
      </c>
      <c r="K28"/>
      <c r="L28"/>
      <c r="M28"/>
      <c r="N28"/>
      <c r="O28"/>
      <c r="P28"/>
      <c r="Q28"/>
      <c r="R28"/>
    </row>
    <row r="29" spans="1:18" x14ac:dyDescent="0.35">
      <c r="A29"/>
      <c r="B29" t="s">
        <v>25</v>
      </c>
      <c r="C29"/>
      <c r="D29" s="53">
        <f>IF((F24&gt;I25),I25,(F24))</f>
        <v>3500</v>
      </c>
      <c r="E29" s="62">
        <v>1.0569999999999999</v>
      </c>
      <c r="F29" s="53">
        <f>ROUND(D29*((100-E29)/100),0)</f>
        <v>3463</v>
      </c>
      <c r="G29"/>
      <c r="H29"/>
      <c r="I29" t="s">
        <v>99</v>
      </c>
      <c r="J29" s="53"/>
      <c r="K29"/>
      <c r="L29"/>
      <c r="M29"/>
      <c r="N29"/>
      <c r="O29"/>
      <c r="P29"/>
      <c r="Q29"/>
      <c r="R29"/>
    </row>
    <row r="30" spans="1:18" x14ac:dyDescent="0.35">
      <c r="A30"/>
      <c r="B30" t="s">
        <v>26</v>
      </c>
      <c r="C30"/>
      <c r="D30" s="53">
        <f>((SUM(I25:K25))-D29)</f>
        <v>2000</v>
      </c>
      <c r="E30" s="62">
        <v>1.0569999999999999</v>
      </c>
      <c r="F30" s="53">
        <f t="shared" ref="F30:F31" si="7">ROUND(D30*((100-E30)/100),0)</f>
        <v>1979</v>
      </c>
      <c r="G30"/>
      <c r="H30"/>
      <c r="I30"/>
      <c r="J30"/>
      <c r="K30"/>
      <c r="L30"/>
      <c r="M30"/>
      <c r="N30"/>
      <c r="O30"/>
      <c r="P30"/>
      <c r="Q30"/>
      <c r="R30"/>
    </row>
    <row r="31" spans="1:18" x14ac:dyDescent="0.35">
      <c r="A31"/>
      <c r="B31" t="s">
        <v>27</v>
      </c>
      <c r="C31"/>
      <c r="D31" s="53">
        <f>+J28</f>
        <v>67002</v>
      </c>
      <c r="E31" s="62">
        <v>4.2279999999999998</v>
      </c>
      <c r="F31" s="53">
        <f t="shared" si="7"/>
        <v>64169</v>
      </c>
      <c r="G31"/>
      <c r="H31"/>
      <c r="I31"/>
      <c r="J31"/>
      <c r="K31"/>
      <c r="L31"/>
      <c r="M31"/>
      <c r="N31"/>
      <c r="O31"/>
      <c r="P31"/>
      <c r="Q31"/>
      <c r="R31"/>
    </row>
    <row r="32" spans="1:18" x14ac:dyDescent="0.35">
      <c r="A32"/>
      <c r="B32"/>
      <c r="C32"/>
      <c r="D32" s="53">
        <f>SUM(D29:D31)</f>
        <v>72502</v>
      </c>
      <c r="E32"/>
      <c r="F32" s="53">
        <f>SUM(F29:F31)</f>
        <v>69611</v>
      </c>
      <c r="G32"/>
      <c r="H32"/>
      <c r="I32"/>
      <c r="J32"/>
      <c r="K32"/>
      <c r="L32"/>
      <c r="M32"/>
      <c r="N32"/>
      <c r="O32"/>
      <c r="P32"/>
      <c r="Q32"/>
      <c r="R32"/>
    </row>
    <row r="33" spans="1:18" x14ac:dyDescent="0.3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</row>
    <row r="34" spans="1:18" x14ac:dyDescent="0.35">
      <c r="A34"/>
      <c r="B34" t="s">
        <v>100</v>
      </c>
      <c r="C34"/>
      <c r="D34" t="s">
        <v>101</v>
      </c>
      <c r="E34"/>
      <c r="F34" s="53">
        <f>F24</f>
        <v>72502</v>
      </c>
      <c r="G34"/>
      <c r="H34"/>
      <c r="I34"/>
      <c r="J34"/>
      <c r="K34"/>
      <c r="L34"/>
      <c r="M34"/>
      <c r="N34"/>
      <c r="O34"/>
      <c r="P34"/>
      <c r="Q34"/>
      <c r="R34"/>
    </row>
    <row r="35" spans="1:18" x14ac:dyDescent="0.35">
      <c r="A35"/>
      <c r="B35"/>
      <c r="C35"/>
      <c r="D35" t="s">
        <v>102</v>
      </c>
      <c r="E35"/>
      <c r="F35"/>
      <c r="G35"/>
      <c r="H35"/>
      <c r="I35"/>
      <c r="J35"/>
      <c r="K35"/>
      <c r="L35"/>
      <c r="M35"/>
      <c r="N35"/>
      <c r="O35"/>
      <c r="P35"/>
      <c r="Q35"/>
      <c r="R35"/>
    </row>
    <row r="36" spans="1:18" x14ac:dyDescent="0.3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</row>
  </sheetData>
  <sheetProtection algorithmName="SHA-512" hashValue="Ip/+SiQOBL6uLgvXRn98vJFHKGKCurlBwnhg1x9TAQ0G7VSgSsSUmsUSl5xw6qLZ7EKjxLLedsVkJ2caVmwE+Q==" saltValue="l9a5c70K5FlVsJOQ+ZI6u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Cost of Attendance</vt:lpstr>
      <vt:lpstr>Data</vt:lpstr>
    </vt:vector>
  </TitlesOfParts>
  <Company>Royal College of Music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Seale</dc:creator>
  <cp:lastModifiedBy>Jessi Maguire</cp:lastModifiedBy>
  <dcterms:created xsi:type="dcterms:W3CDTF">2023-12-07T17:51:03Z</dcterms:created>
  <dcterms:modified xsi:type="dcterms:W3CDTF">2023-12-19T11:51:29Z</dcterms:modified>
</cp:coreProperties>
</file>